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westycje\PODSTAWOWY\2026r\17. 3.272.46.2026 -  2229W Podskwarne 10+320 - 10+674 Chodnik\SWZ\"/>
    </mc:Choice>
  </mc:AlternateContent>
  <xr:revisionPtr revIDLastSave="0" documentId="13_ncr:1_{72FEBB36-1294-4F43-8222-054E87578F9C}" xr6:coauthVersionLast="47" xr6:coauthVersionMax="47" xr10:uidLastSave="{00000000-0000-0000-0000-000000000000}"/>
  <bookViews>
    <workbookView xWindow="2100" yWindow="2655" windowWidth="21600" windowHeight="11295" tabRatio="803" xr2:uid="{00000000-000D-0000-FFFF-FFFF00000000}"/>
  </bookViews>
  <sheets>
    <sheet name="kosztorys ofertowy" sheetId="85" r:id="rId1"/>
    <sheet name="&lt;--przepusty" sheetId="74" state="hidden" r:id="rId2"/>
  </sheets>
  <definedNames>
    <definedName name="_od1">#REF!</definedName>
    <definedName name="_od2">#REF!</definedName>
    <definedName name="_od3">#REF!</definedName>
    <definedName name="_od4">#REF!</definedName>
    <definedName name="_ods1">#REF!</definedName>
    <definedName name="_ods2">#REF!</definedName>
    <definedName name="_ods3">#REF!</definedName>
    <definedName name="_ods4">#REF!</definedName>
    <definedName name="_xlnm.Print_Area">#REF!</definedName>
    <definedName name="posz1">#REF!</definedName>
    <definedName name="posz2">#REF!</definedName>
    <definedName name="posz3">#REF!</definedName>
    <definedName name="_xlnm.Print_Titles" localSheetId="0">'kosztorys ofertowy'!$18:$18</definedName>
    <definedName name="_xlnm.Print_Titles">#REF!</definedName>
    <definedName name="Z_5E068C25_D435_46DE_A64A_D205E9289932_.wvu.PrintArea" localSheetId="1" hidden="1">'&lt;--przepusty'!$A$1:$J$45</definedName>
    <definedName name="Z_D77CCF3B_D797_41D0_B6E1_DD959026208A_.wvu.PrintArea" localSheetId="1" hidden="1">'&lt;--przepusty'!$A$1:$J$45</definedName>
  </definedNames>
  <calcPr calcId="191029"/>
  <customWorkbookViews>
    <customWorkbookView name="wojl - Widok osobisty" guid="{0083642F-FC64-4801-91A4-9AFA22F77273}" mergeInterval="0" personalView="1" xWindow="6" yWindow="25" windowWidth="3499" windowHeight="1050" tabRatio="938" activeSheetId="64"/>
    <customWorkbookView name="kalr - Widok osobisty" guid="{5E068C25-D435-46DE-A64A-D205E9289932}" mergeInterval="0" personalView="1" maximized="1" xWindow="1" yWindow="1" windowWidth="1920" windowHeight="983" tabRatio="938" activeSheetId="58"/>
    <customWorkbookView name="lewl - Widok osobisty" guid="{D77CCF3B-D797-41D0-B6E1-DD959026208A}" mergeInterval="0" personalView="1" maximized="1" xWindow="1" yWindow="1" windowWidth="1810" windowHeight="999" tabRatio="938" activeSheetId="3"/>
    <customWorkbookView name="skrk - Widok osobisty" guid="{DFD46085-7CA0-4148-BC6E-BB530038F726}" mergeInterval="0" personalView="1" maximized="1" xWindow="1" yWindow="1" windowWidth="1916" windowHeight="983" tabRatio="938" activeSheetId="56"/>
  </customWorkbookViews>
</workbook>
</file>

<file path=xl/calcChain.xml><?xml version="1.0" encoding="utf-8"?>
<calcChain xmlns="http://schemas.openxmlformats.org/spreadsheetml/2006/main">
  <c r="G47" i="85" l="1"/>
  <c r="G46" i="85"/>
  <c r="G20" i="85"/>
  <c r="G44" i="85" l="1"/>
  <c r="G43" i="85"/>
  <c r="G39" i="85"/>
  <c r="G41" i="85"/>
  <c r="G40" i="85" l="1"/>
  <c r="G23" i="85"/>
  <c r="G31" i="85" l="1"/>
  <c r="G28" i="85"/>
  <c r="G25" i="85" l="1"/>
  <c r="G26" i="85"/>
  <c r="G29" i="85"/>
  <c r="G30" i="85"/>
  <c r="G33" i="85"/>
  <c r="G34" i="85"/>
  <c r="G36" i="85"/>
  <c r="G37" i="85"/>
  <c r="G22" i="85"/>
  <c r="D9" i="74"/>
  <c r="D45" i="74" s="1"/>
  <c r="E9" i="74"/>
  <c r="H9" i="74"/>
  <c r="H45" i="74" s="1"/>
  <c r="I9" i="74"/>
  <c r="I45" i="74" s="1"/>
  <c r="J9" i="74"/>
  <c r="D10" i="74"/>
  <c r="E10" i="74"/>
  <c r="E45" i="74" s="1"/>
  <c r="H10" i="74"/>
  <c r="I10" i="74"/>
  <c r="J10" i="74"/>
  <c r="J45" i="74" s="1"/>
  <c r="D11" i="74"/>
  <c r="E11" i="74"/>
  <c r="H11" i="74"/>
  <c r="I11" i="74"/>
  <c r="J11" i="74"/>
  <c r="D12" i="74"/>
  <c r="E12" i="74"/>
  <c r="H12" i="74"/>
  <c r="I12" i="74"/>
  <c r="J12" i="74"/>
  <c r="D13" i="74"/>
  <c r="E13" i="74"/>
  <c r="H13" i="74"/>
  <c r="I13" i="74"/>
  <c r="J13" i="74"/>
  <c r="D14" i="74"/>
  <c r="E14" i="74"/>
  <c r="H14" i="74"/>
  <c r="I14" i="74"/>
  <c r="J14" i="74"/>
  <c r="D15" i="74"/>
  <c r="E15" i="74"/>
  <c r="H15" i="74"/>
  <c r="I15" i="74"/>
  <c r="J15" i="74"/>
  <c r="D16" i="74"/>
  <c r="E16" i="74"/>
  <c r="H16" i="74"/>
  <c r="I16" i="74"/>
  <c r="J16" i="74"/>
  <c r="D17" i="74"/>
  <c r="E17" i="74"/>
  <c r="H17" i="74"/>
  <c r="I17" i="74"/>
  <c r="J17" i="74"/>
  <c r="D18" i="74"/>
  <c r="E18" i="74"/>
  <c r="H18" i="74"/>
  <c r="I18" i="74"/>
  <c r="J18" i="74"/>
  <c r="D19" i="74"/>
  <c r="E19" i="74"/>
  <c r="H19" i="74"/>
  <c r="I19" i="74"/>
  <c r="J19" i="74"/>
  <c r="D20" i="74"/>
  <c r="E20" i="74"/>
  <c r="H20" i="74"/>
  <c r="I20" i="74"/>
  <c r="J20" i="74"/>
  <c r="D21" i="74"/>
  <c r="E21" i="74"/>
  <c r="H21" i="74"/>
  <c r="I21" i="74"/>
  <c r="J21" i="74"/>
  <c r="D22" i="74"/>
  <c r="E22" i="74"/>
  <c r="H22" i="74"/>
  <c r="I22" i="74"/>
  <c r="J22" i="74"/>
  <c r="D23" i="74"/>
  <c r="E23" i="74"/>
  <c r="H23" i="74"/>
  <c r="I23" i="74"/>
  <c r="J23" i="74"/>
  <c r="D24" i="74"/>
  <c r="E24" i="74"/>
  <c r="H24" i="74"/>
  <c r="I24" i="74"/>
  <c r="J24" i="74"/>
  <c r="D25" i="74"/>
  <c r="E25" i="74"/>
  <c r="H25" i="74"/>
  <c r="I25" i="74"/>
  <c r="J25" i="74"/>
  <c r="D26" i="74"/>
  <c r="E26" i="74"/>
  <c r="H26" i="74"/>
  <c r="I26" i="74"/>
  <c r="J26" i="74"/>
  <c r="D27" i="74"/>
  <c r="E27" i="74"/>
  <c r="H27" i="74"/>
  <c r="I27" i="74"/>
  <c r="J27" i="74"/>
  <c r="D28" i="74"/>
  <c r="E28" i="74"/>
  <c r="H28" i="74"/>
  <c r="I28" i="74"/>
  <c r="J28" i="74"/>
  <c r="D29" i="74"/>
  <c r="E29" i="74"/>
  <c r="H29" i="74"/>
  <c r="I29" i="74"/>
  <c r="J29" i="74"/>
  <c r="D30" i="74"/>
  <c r="E30" i="74"/>
  <c r="H30" i="74"/>
  <c r="I30" i="74"/>
  <c r="J30" i="74"/>
  <c r="D31" i="74"/>
  <c r="E31" i="74"/>
  <c r="H31" i="74"/>
  <c r="I31" i="74"/>
  <c r="J31" i="74"/>
  <c r="D32" i="74"/>
  <c r="E32" i="74"/>
  <c r="H32" i="74"/>
  <c r="I32" i="74"/>
  <c r="J32" i="74"/>
  <c r="D33" i="74"/>
  <c r="E33" i="74"/>
  <c r="H33" i="74"/>
  <c r="I33" i="74"/>
  <c r="J33" i="74"/>
  <c r="D34" i="74"/>
  <c r="E34" i="74"/>
  <c r="H34" i="74"/>
  <c r="I34" i="74"/>
  <c r="J34" i="74"/>
  <c r="D35" i="74"/>
  <c r="E35" i="74"/>
  <c r="H35" i="74"/>
  <c r="I35" i="74"/>
  <c r="J35" i="74"/>
  <c r="D36" i="74"/>
  <c r="E36" i="74"/>
  <c r="H36" i="74"/>
  <c r="I36" i="74"/>
  <c r="J36" i="74"/>
  <c r="D37" i="74"/>
  <c r="E37" i="74"/>
  <c r="H37" i="74"/>
  <c r="I37" i="74"/>
  <c r="J37" i="74"/>
  <c r="D38" i="74"/>
  <c r="E38" i="74"/>
  <c r="H38" i="74"/>
  <c r="I38" i="74"/>
  <c r="J38" i="74"/>
  <c r="D39" i="74"/>
  <c r="E39" i="74"/>
  <c r="H39" i="74"/>
  <c r="I39" i="74"/>
  <c r="J39" i="74"/>
  <c r="D40" i="74"/>
  <c r="E40" i="74"/>
  <c r="H40" i="74"/>
  <c r="I40" i="74"/>
  <c r="J40" i="74"/>
  <c r="D41" i="74"/>
  <c r="E41" i="74"/>
  <c r="H41" i="74"/>
  <c r="I41" i="74"/>
  <c r="J41" i="74"/>
  <c r="D42" i="74"/>
  <c r="E42" i="74"/>
  <c r="H42" i="74"/>
  <c r="I42" i="74"/>
  <c r="J42" i="74"/>
  <c r="D43" i="74"/>
  <c r="E43" i="74"/>
  <c r="H43" i="74"/>
  <c r="I43" i="74"/>
  <c r="J43" i="74"/>
  <c r="D44" i="74"/>
  <c r="E44" i="74"/>
  <c r="H44" i="74"/>
  <c r="I44" i="74"/>
  <c r="J44" i="74"/>
  <c r="C45" i="74"/>
  <c r="F45" i="74"/>
  <c r="G45" i="74"/>
  <c r="G48" i="85" l="1"/>
  <c r="G49" i="85" s="1"/>
</calcChain>
</file>

<file path=xl/sharedStrings.xml><?xml version="1.0" encoding="utf-8"?>
<sst xmlns="http://schemas.openxmlformats.org/spreadsheetml/2006/main" count="189" uniqueCount="127">
  <si>
    <t>Wykaz  - 18</t>
  </si>
  <si>
    <t>WYKAZ ROBÓT PRZY BUDOWIE PRZEPUSTÓW POD PRZEJŚCIAMI AWARYJNYMI</t>
  </si>
  <si>
    <t>Autostrada A2 odcinek D1, km 431+500.00 - km 441+143.53</t>
  </si>
  <si>
    <t>km autostrady A2</t>
  </si>
  <si>
    <t xml:space="preserve">432+846.00 </t>
  </si>
  <si>
    <t xml:space="preserve">433+021.00 </t>
  </si>
  <si>
    <t xml:space="preserve">433+233.00 </t>
  </si>
  <si>
    <t xml:space="preserve">433+416.00 </t>
  </si>
  <si>
    <t xml:space="preserve">433+675.00 </t>
  </si>
  <si>
    <t xml:space="preserve">433+855.00 </t>
  </si>
  <si>
    <t xml:space="preserve">434+030.00 </t>
  </si>
  <si>
    <t xml:space="preserve">434+993.00 </t>
  </si>
  <si>
    <t xml:space="preserve">435+186.00 </t>
  </si>
  <si>
    <t xml:space="preserve">435+379.00 </t>
  </si>
  <si>
    <t xml:space="preserve">435+572.00 </t>
  </si>
  <si>
    <t xml:space="preserve">435+765.00 </t>
  </si>
  <si>
    <t xml:space="preserve">435+958.00 </t>
  </si>
  <si>
    <t xml:space="preserve">436+350.00 </t>
  </si>
  <si>
    <t xml:space="preserve">436+550.00 </t>
  </si>
  <si>
    <t xml:space="preserve">436+600.00 </t>
  </si>
  <si>
    <t xml:space="preserve">436+800.00 </t>
  </si>
  <si>
    <t xml:space="preserve">438+409.00 </t>
  </si>
  <si>
    <t xml:space="preserve">438+225.00 </t>
  </si>
  <si>
    <t xml:space="preserve">439+016.00 </t>
  </si>
  <si>
    <t xml:space="preserve">439+216.00 </t>
  </si>
  <si>
    <t xml:space="preserve">439+402.00 </t>
  </si>
  <si>
    <t xml:space="preserve">439+592.00 </t>
  </si>
  <si>
    <t xml:space="preserve">439+774.00 </t>
  </si>
  <si>
    <t xml:space="preserve">439+960.00 </t>
  </si>
  <si>
    <t xml:space="preserve">440+146.00 </t>
  </si>
  <si>
    <t xml:space="preserve">440+300.00 </t>
  </si>
  <si>
    <t xml:space="preserve">440+512.00 </t>
  </si>
  <si>
    <t xml:space="preserve">440+712.00 </t>
  </si>
  <si>
    <t xml:space="preserve">440+912.00 </t>
  </si>
  <si>
    <t xml:space="preserve">441+112.00 </t>
  </si>
  <si>
    <t>Długość rury stalowej</t>
  </si>
  <si>
    <t>DN 500</t>
  </si>
  <si>
    <t>Nasyp</t>
  </si>
  <si>
    <t>Umocnienie brukiem na podbud. z piasku stab. cement. czoła przepustu</t>
  </si>
  <si>
    <t>Umocnienie brukiem na podbud. z piasku stab. cement. wlotu i wylotu przepustu</t>
  </si>
  <si>
    <t>Umocnienie darniną</t>
  </si>
  <si>
    <t>Geotkanina polipropylenowa</t>
  </si>
  <si>
    <t>Geowłóknina polipropylenowa</t>
  </si>
  <si>
    <t>Mieszanka żwir.-piask.   0-32mm</t>
  </si>
  <si>
    <t>0+638.00 DL 2</t>
  </si>
  <si>
    <t>0+484.40 DL 2</t>
  </si>
  <si>
    <t>0+326.40 DL 2</t>
  </si>
  <si>
    <t>0+039.00 DL 1</t>
  </si>
  <si>
    <t>0+235.00 DL 1</t>
  </si>
  <si>
    <t>km</t>
  </si>
  <si>
    <t>m2</t>
  </si>
  <si>
    <t>m</t>
  </si>
  <si>
    <t>m3</t>
  </si>
  <si>
    <t>Materac z kruszywa naturalnego</t>
  </si>
  <si>
    <t>SUMA:</t>
  </si>
  <si>
    <t>Lokalizacja</t>
  </si>
  <si>
    <t>L</t>
  </si>
  <si>
    <t>P</t>
  </si>
  <si>
    <t>__</t>
  </si>
  <si>
    <t>mb</t>
  </si>
  <si>
    <t>Strona</t>
  </si>
  <si>
    <t>L.p.</t>
  </si>
  <si>
    <t>Rodzaj robót</t>
  </si>
  <si>
    <t>jednostka</t>
  </si>
  <si>
    <t>ilość</t>
  </si>
  <si>
    <t>D.01.01.01</t>
  </si>
  <si>
    <t>D.08.01.01</t>
  </si>
  <si>
    <t>D.08.03.01</t>
  </si>
  <si>
    <t>ELEMENTY ULIC I DRÓG</t>
  </si>
  <si>
    <t>ROBOTY ZIEMNE</t>
  </si>
  <si>
    <t>D.02.01.01</t>
  </si>
  <si>
    <t>Odtworzenie trasy i punktów wysokościowych przy liniowych robotach ziemnych (drogi) w terenie równinnym wraz z inwentaryzacją powykonawczą</t>
  </si>
  <si>
    <t>PRACE PRZYGOTOWAWCZE</t>
  </si>
  <si>
    <t>CHODNIK</t>
  </si>
  <si>
    <t>Górna warstwa podbudowy z kruszywa łamanego,grubość warstwy po zagęszczeniu 10 cm</t>
  </si>
  <si>
    <t>ZJAZDY</t>
  </si>
  <si>
    <t>Warstwa podbudowy z kruszywa łamanego, grubość warstwy po zagęszczeniu 20 cm</t>
  </si>
  <si>
    <t>Chodniki z kostki brukowej betonowej grubości 6cm, szarej, układane na podsypce cementowo-piaskowej spoiny wypełniane piaskiem</t>
  </si>
  <si>
    <t>Nawierzchnia z kostki brukowej betonowej grubości 8cm, czerwonej, układana na podsypce cementowo-piaskowej, spoiny wypełniane piaskiem</t>
  </si>
  <si>
    <t>ODWODNIENIE</t>
  </si>
  <si>
    <t>wartość netto</t>
  </si>
  <si>
    <t>cena jednostkowa netto</t>
  </si>
  <si>
    <t>wartość netto:</t>
  </si>
  <si>
    <t>podatek VAT=23%:</t>
  </si>
  <si>
    <t>wartość brutto:</t>
  </si>
  <si>
    <t>Nr SST</t>
  </si>
  <si>
    <t>Obrzeża betonowe o wymiarach 30x8 cm, na podsypce cementowo-piaskowej, spoiny wypełniane zaprawą cementową</t>
  </si>
  <si>
    <t>D.08.02.02</t>
  </si>
  <si>
    <t>D.06.01.01</t>
  </si>
  <si>
    <t>D.05.03.23</t>
  </si>
  <si>
    <t>D.04.04.01</t>
  </si>
  <si>
    <t>Uzupełnienie nawierzchni bitumicznych przy krawężniku przy użyciu mieszanek mineralno - asfaltowych - grubość warstwy 10 cm</t>
  </si>
  <si>
    <t>Mechaniczne cięcie nawierzchni z mas mienearlno - asfaltowych</t>
  </si>
  <si>
    <t>Krawężniki betonowe o wymiarach 15x30 cm, wraz z wykonaniem ław betonowych, na podsypce cementowo-piaskowej</t>
  </si>
  <si>
    <t>Rozebranie przepustów pod zjazdami i wzdłuż rowów wraz z wywiezieniem materiału z rozbiórki</t>
  </si>
  <si>
    <t>m³</t>
  </si>
  <si>
    <t>D.01.02.04</t>
  </si>
  <si>
    <t>Wykopy - Roboty ziemne wykonywane koparkami podsiębiernymi o poj. łyżki 0,60m3 z transportem urobku samochodami samowyładowczymi. Grunt kat.I-II wraz z odwodnieniem</t>
  </si>
  <si>
    <t>ORGANIZACJA RUCHU</t>
  </si>
  <si>
    <t>Pionowe znaki drogowe, słupki z rur stalowych 70 mm</t>
  </si>
  <si>
    <t>Pionowe znaki drogowe, znaki zakazu, nakazu ostrzegawcze i informacyjne o powierzchni do 0,3 m2</t>
  </si>
  <si>
    <t>szt</t>
  </si>
  <si>
    <t>Przepusty rurowe pod zjazdami, rury PEHD o srednicy 40 cm., układane na fundamencie z betonu C16/20 gr. 30 cm. i podsypce z kruszywa naturalnego gr. 5 cm. wraz z obrukowanie wlotów/wylotów kamieniem polnym</t>
  </si>
  <si>
    <t>Wykopy z załadunkiem recznym z transportem urobku samochodami samowyładowczymi. Grunt kat. I-II z odwodnieniem.</t>
  </si>
  <si>
    <t>Ścieki podchodnikowe na podsypce cementowo-piaskowej z elementów betonowych, o grubości 20 cm.</t>
  </si>
  <si>
    <t>WYMAGANIA OGÓLNE</t>
  </si>
  <si>
    <t>Umocnienie skarp i dna kanałów płytami azurowymi o wymiarach 60x40x10 cm. Na podsypce piaskowej gr. 5 cm., otwory wypełnione gruntem</t>
  </si>
  <si>
    <t>Wymagania ogólne</t>
  </si>
  <si>
    <t>D.00.00.00</t>
  </si>
  <si>
    <t>D.05.03.05</t>
  </si>
  <si>
    <t>D.03.01.01</t>
  </si>
  <si>
    <t>D.07.02.01</t>
  </si>
  <si>
    <t>Przebudowa drogi powiatowej nr 2229W Jędrzejów-Cegłów-Kuflew od km 10+320 do km 10+674</t>
  </si>
  <si>
    <t>Humusowanie z obsianiem terenu przy grubości warstwy ziemi urodzajnej 5 cm.</t>
  </si>
  <si>
    <t>KOSZTORYS OFERTOWY</t>
  </si>
  <si>
    <t>Załącznik nr 2 do SWZ</t>
  </si>
  <si>
    <r>
      <rPr>
        <b/>
        <u/>
        <sz val="10"/>
        <color rgb="FF000000"/>
        <rFont val="Arial"/>
        <family val="2"/>
        <charset val="238"/>
      </rPr>
      <t>Uwaga</t>
    </r>
    <r>
      <rPr>
        <u/>
        <sz val="10"/>
        <color rgb="FF000000"/>
        <rFont val="Arial"/>
        <family val="2"/>
        <charset val="238"/>
      </rPr>
      <t>! (Dokument składany wraz z ofertą)</t>
    </r>
  </si>
  <si>
    <t>Wykonawca:</t>
  </si>
  <si>
    <t>….........................................................</t>
  </si>
  <si>
    <t>(pełna nazwa/firma, adres)</t>
  </si>
  <si>
    <t>(w zależności od podmiotu: NIP/PESEL, KRS/CEiDG)</t>
  </si>
  <si>
    <t>reprezentowany przez:</t>
  </si>
  <si>
    <t>…...................................................</t>
  </si>
  <si>
    <t>(imię, nazwisko)</t>
  </si>
  <si>
    <t>(podstawa do reprezentacji KRS/CEiDG/pełnomocnictwo)</t>
  </si>
  <si>
    <t>Nr sprawy: ZDP. 3.272.46.2026</t>
  </si>
  <si>
    <t>Dokument należy podpisać kwalifikowanym podpisem elektronicznym, lub podpisem zaufanym lub (elektronicznym) podpisem osobistym.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</si>
</sst>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\+000"/>
    <numFmt numFmtId="166" formatCode="0.0"/>
    <numFmt numFmtId="167" formatCode="0.000"/>
  </numFmts>
  <fonts count="3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PL Courier New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b/>
      <sz val="14"/>
      <color indexed="8"/>
      <name val="Czcionka tekstu podstawowego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6"/>
      <name val="Arial"/>
      <family val="2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name val="Arial"/>
      <family val="2"/>
    </font>
    <font>
      <sz val="10"/>
      <color indexed="64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i/>
      <sz val="8"/>
      <color indexed="64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10"/>
      <color theme="1"/>
      <name val="Czcionka tekstu podstawowego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1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3" fillId="0" borderId="0"/>
    <xf numFmtId="0" fontId="4" fillId="0" borderId="1" applyNumberFormat="0" applyFont="0" applyFill="0" applyBorder="0" applyProtection="0">
      <alignment vertical="top" wrapText="1"/>
    </xf>
  </cellStyleXfs>
  <cellXfs count="99">
    <xf numFmtId="0" fontId="0" fillId="0" borderId="0" xfId="0"/>
    <xf numFmtId="1" fontId="5" fillId="0" borderId="0" xfId="2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2" xfId="0" applyFont="1" applyBorder="1" applyAlignment="1">
      <alignment horizontal="center" vertical="center"/>
    </xf>
    <xf numFmtId="0" fontId="14" fillId="0" borderId="0" xfId="0" applyFont="1"/>
    <xf numFmtId="0" fontId="13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7" fillId="0" borderId="6" xfId="19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7" fillId="0" borderId="9" xfId="19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5" fontId="2" fillId="0" borderId="12" xfId="19" applyNumberFormat="1" applyFont="1" applyBorder="1" applyAlignment="1">
      <alignment horizontal="center" vertical="center"/>
    </xf>
    <xf numFmtId="165" fontId="2" fillId="0" borderId="6" xfId="19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165" fontId="2" fillId="0" borderId="14" xfId="19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1" fontId="17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4" fontId="23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2" borderId="2" xfId="18" applyFont="1" applyFill="1" applyBorder="1" applyAlignment="1">
      <alignment horizontal="center" vertical="center"/>
    </xf>
    <xf numFmtId="0" fontId="2" fillId="0" borderId="2" xfId="18" applyFont="1" applyBorder="1" applyAlignment="1">
      <alignment horizontal="center" vertical="center"/>
    </xf>
    <xf numFmtId="49" fontId="2" fillId="2" borderId="2" xfId="18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7" fillId="2" borderId="2" xfId="18" applyNumberFormat="1" applyFont="1" applyFill="1" applyBorder="1" applyAlignment="1">
      <alignment horizontal="left" vertical="center" wrapText="1"/>
    </xf>
    <xf numFmtId="49" fontId="7" fillId="2" borderId="2" xfId="18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4" fontId="24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18" applyNumberFormat="1" applyFont="1" applyBorder="1" applyAlignment="1">
      <alignment horizontal="center" vertical="center" wrapText="1"/>
    </xf>
    <xf numFmtId="49" fontId="2" fillId="0" borderId="2" xfId="18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left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9" fontId="2" fillId="3" borderId="2" xfId="18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3" borderId="2" xfId="18" applyNumberFormat="1" applyFont="1" applyFill="1" applyBorder="1" applyAlignment="1">
      <alignment horizontal="center" vertical="center" wrapText="1"/>
    </xf>
    <xf numFmtId="0" fontId="22" fillId="0" borderId="2" xfId="18" applyFont="1" applyBorder="1" applyAlignment="1">
      <alignment horizontal="center" vertical="center"/>
    </xf>
    <xf numFmtId="0" fontId="30" fillId="0" borderId="0" xfId="0" applyFont="1" applyProtection="1">
      <protection locked="0"/>
    </xf>
    <xf numFmtId="0" fontId="31" fillId="0" borderId="0" xfId="0" applyFont="1"/>
    <xf numFmtId="0" fontId="32" fillId="0" borderId="0" xfId="0" applyFont="1"/>
    <xf numFmtId="0" fontId="33" fillId="0" borderId="0" xfId="0" applyFont="1" applyProtection="1">
      <protection locked="0"/>
    </xf>
    <xf numFmtId="0" fontId="31" fillId="0" borderId="0" xfId="0" applyFont="1" applyAlignment="1">
      <alignment horizontal="center"/>
    </xf>
    <xf numFmtId="0" fontId="37" fillId="0" borderId="0" xfId="12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7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top" wrapText="1"/>
    </xf>
    <xf numFmtId="0" fontId="34" fillId="0" borderId="0" xfId="0" applyFont="1" applyAlignment="1">
      <alignment horizontal="left" vertical="top" wrapText="1"/>
    </xf>
    <xf numFmtId="0" fontId="27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22">
    <cellStyle name="Dziesiętny 2" xfId="1" xr:uid="{00000000-0005-0000-0000-000000000000}"/>
    <cellStyle name="Dziesiętny 2 2" xfId="2" xr:uid="{00000000-0005-0000-0000-000001000000}"/>
    <cellStyle name="Dziesiętny 3" xfId="3" xr:uid="{00000000-0005-0000-0000-000002000000}"/>
    <cellStyle name="Dziesiętny 3 2" xfId="4" xr:uid="{00000000-0005-0000-0000-000003000000}"/>
    <cellStyle name="Dziesiętny 3 2 2" xfId="5" xr:uid="{00000000-0005-0000-0000-000004000000}"/>
    <cellStyle name="Dziesiętny 3 3" xfId="6" xr:uid="{00000000-0005-0000-0000-000005000000}"/>
    <cellStyle name="Dziesiętny 4" xfId="7" xr:uid="{00000000-0005-0000-0000-000006000000}"/>
    <cellStyle name="None" xfId="8" xr:uid="{00000000-0005-0000-0000-000007000000}"/>
    <cellStyle name="Normalny" xfId="0" builtinId="0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3" xfId="12" xr:uid="{00000000-0005-0000-0000-00000C000000}"/>
    <cellStyle name="Normalny 2_Wykaz_A2_D1" xfId="13" xr:uid="{00000000-0005-0000-0000-00000D000000}"/>
    <cellStyle name="Normalny 4" xfId="14" xr:uid="{00000000-0005-0000-0000-00000E000000}"/>
    <cellStyle name="Normalny 4 2" xfId="15" xr:uid="{00000000-0005-0000-0000-00000F000000}"/>
    <cellStyle name="Normalny 4 2 2" xfId="16" xr:uid="{00000000-0005-0000-0000-000010000000}"/>
    <cellStyle name="Normalny 4 3" xfId="17" xr:uid="{00000000-0005-0000-0000-000011000000}"/>
    <cellStyle name="Normalny_TER02" xfId="18" xr:uid="{00000000-0005-0000-0000-000013000000}"/>
    <cellStyle name="Normalny_wykazy 5.4_x" xfId="19" xr:uid="{00000000-0005-0000-0000-000014000000}"/>
    <cellStyle name="Normalny_wykazy_5.5.1" xfId="20" xr:uid="{00000000-0005-0000-0000-000015000000}"/>
    <cellStyle name="Opis" xfId="21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52"/>
  <sheetViews>
    <sheetView tabSelected="1" view="pageBreakPreview" zoomScaleNormal="100" zoomScaleSheetLayoutView="100" workbookViewId="0">
      <selection activeCell="G49" sqref="G49"/>
    </sheetView>
  </sheetViews>
  <sheetFormatPr defaultRowHeight="14.25"/>
  <cols>
    <col min="1" max="1" width="4.625" style="32" customWidth="1"/>
    <col min="2" max="2" width="10.625" style="32" customWidth="1"/>
    <col min="3" max="3" width="32.625" style="32" customWidth="1"/>
    <col min="4" max="4" width="5.625" style="32" customWidth="1"/>
    <col min="5" max="5" width="7.625" style="32" customWidth="1"/>
    <col min="6" max="6" width="10.625" customWidth="1"/>
    <col min="7" max="7" width="11.125" customWidth="1"/>
  </cols>
  <sheetData>
    <row r="1" spans="1:7">
      <c r="A1" s="83" t="s">
        <v>125</v>
      </c>
      <c r="B1" s="83"/>
      <c r="C1" s="83"/>
      <c r="D1" s="84" t="s">
        <v>115</v>
      </c>
      <c r="E1" s="84"/>
      <c r="F1" s="84"/>
      <c r="G1" s="84"/>
    </row>
    <row r="2" spans="1:7">
      <c r="A2" s="85" t="s">
        <v>116</v>
      </c>
      <c r="B2" s="85"/>
      <c r="C2" s="85"/>
      <c r="D2" s="85"/>
      <c r="E2" s="85"/>
      <c r="F2" s="85"/>
      <c r="G2" s="85"/>
    </row>
    <row r="3" spans="1:7" ht="18.75">
      <c r="A3" s="74" t="s">
        <v>117</v>
      </c>
      <c r="B3" s="74"/>
      <c r="C3" s="74"/>
      <c r="D3" s="75"/>
      <c r="E3" s="75"/>
      <c r="F3" s="75"/>
      <c r="G3" s="76"/>
    </row>
    <row r="4" spans="1:7" ht="18.75">
      <c r="A4" s="77" t="s">
        <v>118</v>
      </c>
      <c r="B4" s="77"/>
      <c r="C4" s="77"/>
      <c r="D4" s="75"/>
      <c r="E4" s="75"/>
      <c r="F4" s="75"/>
      <c r="G4" s="76"/>
    </row>
    <row r="5" spans="1:7" ht="18.75">
      <c r="A5" s="86" t="s">
        <v>119</v>
      </c>
      <c r="B5" s="86"/>
      <c r="C5" s="86"/>
      <c r="D5" s="75"/>
      <c r="E5" s="75"/>
      <c r="F5" s="75"/>
      <c r="G5" s="76"/>
    </row>
    <row r="6" spans="1:7" ht="18.75">
      <c r="A6" s="87" t="s">
        <v>118</v>
      </c>
      <c r="B6" s="87"/>
      <c r="C6" s="87"/>
      <c r="D6" s="75"/>
      <c r="E6" s="75"/>
      <c r="F6" s="75"/>
      <c r="G6" s="76"/>
    </row>
    <row r="7" spans="1:7" ht="18.75">
      <c r="A7" s="88" t="s">
        <v>120</v>
      </c>
      <c r="B7" s="88"/>
      <c r="C7" s="88"/>
      <c r="D7" s="75"/>
      <c r="E7" s="75"/>
      <c r="F7" s="75"/>
      <c r="G7" s="76"/>
    </row>
    <row r="8" spans="1:7" ht="18.75">
      <c r="A8" s="89" t="s">
        <v>121</v>
      </c>
      <c r="B8" s="89"/>
      <c r="C8" s="89"/>
      <c r="D8" s="78"/>
      <c r="E8" s="78"/>
      <c r="F8" s="78"/>
      <c r="G8" s="76"/>
    </row>
    <row r="9" spans="1:7" ht="18.75">
      <c r="A9" s="90" t="s">
        <v>122</v>
      </c>
      <c r="B9" s="90"/>
      <c r="C9" s="90"/>
      <c r="D9" s="78"/>
      <c r="E9" s="78"/>
      <c r="F9" s="78"/>
      <c r="G9" s="76"/>
    </row>
    <row r="10" spans="1:7" ht="18.75">
      <c r="A10" s="88" t="s">
        <v>123</v>
      </c>
      <c r="B10" s="88"/>
      <c r="C10" s="88"/>
      <c r="D10" s="78"/>
      <c r="E10" s="78"/>
      <c r="F10" s="78"/>
      <c r="G10" s="76"/>
    </row>
    <row r="11" spans="1:7" ht="18.75">
      <c r="A11" s="90" t="s">
        <v>122</v>
      </c>
      <c r="B11" s="90"/>
      <c r="C11" s="90"/>
      <c r="D11" s="78"/>
      <c r="E11" s="78"/>
      <c r="F11" s="78"/>
      <c r="G11" s="76"/>
    </row>
    <row r="12" spans="1:7" ht="18.75">
      <c r="A12" s="88" t="s">
        <v>124</v>
      </c>
      <c r="B12" s="88"/>
      <c r="C12" s="88"/>
      <c r="D12" s="78"/>
      <c r="E12" s="78"/>
      <c r="F12" s="78"/>
      <c r="G12" s="76"/>
    </row>
    <row r="16" spans="1:7" ht="20.25" customHeight="1">
      <c r="A16" s="82" t="s">
        <v>114</v>
      </c>
      <c r="B16" s="82"/>
      <c r="C16" s="82"/>
      <c r="D16" s="82"/>
      <c r="E16" s="82"/>
      <c r="F16" s="82"/>
      <c r="G16" s="82"/>
    </row>
    <row r="17" spans="1:10" ht="34.5" customHeight="1">
      <c r="A17" s="81" t="s">
        <v>112</v>
      </c>
      <c r="B17" s="81"/>
      <c r="C17" s="81"/>
      <c r="D17" s="81"/>
      <c r="E17" s="81"/>
      <c r="F17" s="81"/>
      <c r="G17" s="81"/>
    </row>
    <row r="18" spans="1:10" ht="38.25">
      <c r="A18" s="47" t="s">
        <v>61</v>
      </c>
      <c r="B18" s="48" t="s">
        <v>85</v>
      </c>
      <c r="C18" s="47" t="s">
        <v>62</v>
      </c>
      <c r="D18" s="49" t="s">
        <v>63</v>
      </c>
      <c r="E18" s="49" t="s">
        <v>64</v>
      </c>
      <c r="F18" s="49" t="s">
        <v>81</v>
      </c>
      <c r="G18" s="49" t="s">
        <v>80</v>
      </c>
    </row>
    <row r="19" spans="1:10">
      <c r="A19" s="36"/>
      <c r="B19" s="43"/>
      <c r="C19" s="50" t="s">
        <v>105</v>
      </c>
      <c r="D19" s="51"/>
      <c r="E19" s="52"/>
      <c r="F19" s="52"/>
      <c r="G19" s="52"/>
    </row>
    <row r="20" spans="1:10">
      <c r="A20" s="35">
        <v>1</v>
      </c>
      <c r="B20" s="71" t="s">
        <v>108</v>
      </c>
      <c r="C20" s="69" t="s">
        <v>107</v>
      </c>
      <c r="D20" s="70" t="s">
        <v>101</v>
      </c>
      <c r="E20" s="70">
        <v>1</v>
      </c>
      <c r="F20" s="40"/>
      <c r="G20" s="40">
        <f>ROUND(E20*F20,2)</f>
        <v>0</v>
      </c>
    </row>
    <row r="21" spans="1:10">
      <c r="A21" s="36"/>
      <c r="B21" s="43"/>
      <c r="C21" s="50" t="s">
        <v>72</v>
      </c>
      <c r="D21" s="51"/>
      <c r="E21" s="52"/>
      <c r="F21" s="52"/>
      <c r="G21" s="52"/>
    </row>
    <row r="22" spans="1:10" ht="51">
      <c r="A22" s="35">
        <v>2</v>
      </c>
      <c r="B22" s="35" t="s">
        <v>65</v>
      </c>
      <c r="C22" s="34" t="s">
        <v>71</v>
      </c>
      <c r="D22" s="33" t="s">
        <v>49</v>
      </c>
      <c r="E22" s="41">
        <v>0.35399999999999998</v>
      </c>
      <c r="F22" s="40"/>
      <c r="G22" s="40">
        <f>ROUND(E22*F22,2)</f>
        <v>0</v>
      </c>
    </row>
    <row r="23" spans="1:10" ht="38.25">
      <c r="A23" s="61">
        <v>3</v>
      </c>
      <c r="B23" s="61" t="s">
        <v>96</v>
      </c>
      <c r="C23" s="62" t="s">
        <v>94</v>
      </c>
      <c r="D23" s="63" t="s">
        <v>51</v>
      </c>
      <c r="E23" s="64">
        <v>76</v>
      </c>
      <c r="F23" s="64"/>
      <c r="G23" s="64">
        <f t="shared" ref="G23" si="0">ROUND(E23*F23,2)</f>
        <v>0</v>
      </c>
    </row>
    <row r="24" spans="1:10" ht="15.75" customHeight="1">
      <c r="A24" s="36"/>
      <c r="B24" s="45"/>
      <c r="C24" s="50" t="s">
        <v>69</v>
      </c>
      <c r="D24" s="36"/>
      <c r="E24" s="37"/>
      <c r="F24" s="38"/>
      <c r="G24" s="38"/>
    </row>
    <row r="25" spans="1:10" ht="63.75">
      <c r="A25" s="35">
        <v>4</v>
      </c>
      <c r="B25" s="44" t="s">
        <v>70</v>
      </c>
      <c r="C25" s="34" t="s">
        <v>97</v>
      </c>
      <c r="D25" s="33" t="s">
        <v>95</v>
      </c>
      <c r="E25" s="42">
        <v>163.84</v>
      </c>
      <c r="F25" s="40"/>
      <c r="G25" s="40">
        <f t="shared" ref="G25:G44" si="1">ROUND(E25*F25,2)</f>
        <v>0</v>
      </c>
    </row>
    <row r="26" spans="1:10" ht="51">
      <c r="A26" s="35">
        <v>5</v>
      </c>
      <c r="B26" s="44" t="s">
        <v>70</v>
      </c>
      <c r="C26" s="34" t="s">
        <v>103</v>
      </c>
      <c r="D26" s="33" t="s">
        <v>95</v>
      </c>
      <c r="E26" s="42">
        <v>40.96</v>
      </c>
      <c r="F26" s="40"/>
      <c r="G26" s="40">
        <f t="shared" si="1"/>
        <v>0</v>
      </c>
      <c r="H26" s="46"/>
      <c r="I26" s="46"/>
    </row>
    <row r="27" spans="1:10">
      <c r="A27" s="36"/>
      <c r="B27" s="45"/>
      <c r="C27" s="50" t="s">
        <v>68</v>
      </c>
      <c r="D27" s="36"/>
      <c r="E27" s="37"/>
      <c r="F27" s="38"/>
      <c r="G27" s="38"/>
    </row>
    <row r="28" spans="1:10" ht="25.5">
      <c r="A28" s="35">
        <v>6</v>
      </c>
      <c r="B28" s="35" t="s">
        <v>96</v>
      </c>
      <c r="C28" s="34" t="s">
        <v>92</v>
      </c>
      <c r="D28" s="33" t="s">
        <v>51</v>
      </c>
      <c r="E28" s="42">
        <v>354</v>
      </c>
      <c r="F28" s="56"/>
      <c r="G28" s="56">
        <f t="shared" ref="G28" si="2">ROUND(E28*F28,2)</f>
        <v>0</v>
      </c>
    </row>
    <row r="29" spans="1:10" ht="38.25">
      <c r="A29" s="35">
        <v>7</v>
      </c>
      <c r="B29" s="35" t="s">
        <v>66</v>
      </c>
      <c r="C29" s="34" t="s">
        <v>93</v>
      </c>
      <c r="D29" s="33" t="s">
        <v>51</v>
      </c>
      <c r="E29" s="42">
        <v>465</v>
      </c>
      <c r="F29" s="56"/>
      <c r="G29" s="56">
        <f t="shared" si="1"/>
        <v>0</v>
      </c>
      <c r="H29" s="60"/>
      <c r="I29" s="32"/>
    </row>
    <row r="30" spans="1:10" ht="38.25">
      <c r="A30" s="35">
        <v>8</v>
      </c>
      <c r="B30" s="35" t="s">
        <v>67</v>
      </c>
      <c r="C30" s="34" t="s">
        <v>86</v>
      </c>
      <c r="D30" s="33" t="s">
        <v>51</v>
      </c>
      <c r="E30" s="42">
        <v>322</v>
      </c>
      <c r="F30" s="56"/>
      <c r="G30" s="56">
        <f t="shared" si="1"/>
        <v>0</v>
      </c>
      <c r="H30" s="32"/>
      <c r="I30" s="32"/>
      <c r="J30" s="32"/>
    </row>
    <row r="31" spans="1:10" ht="51">
      <c r="A31" s="35">
        <v>9</v>
      </c>
      <c r="B31" s="35" t="s">
        <v>109</v>
      </c>
      <c r="C31" s="34" t="s">
        <v>91</v>
      </c>
      <c r="D31" s="33" t="s">
        <v>50</v>
      </c>
      <c r="E31" s="42">
        <v>70.8</v>
      </c>
      <c r="F31" s="56"/>
      <c r="G31" s="56">
        <f t="shared" si="1"/>
        <v>0</v>
      </c>
      <c r="H31" s="32"/>
      <c r="I31" s="32"/>
      <c r="J31" s="32"/>
    </row>
    <row r="32" spans="1:10">
      <c r="A32" s="36"/>
      <c r="B32" s="51"/>
      <c r="C32" s="50" t="s">
        <v>73</v>
      </c>
      <c r="D32" s="36"/>
      <c r="E32" s="36"/>
      <c r="F32" s="39"/>
      <c r="G32" s="39"/>
      <c r="H32" s="32"/>
      <c r="I32" s="32"/>
      <c r="J32" s="32"/>
    </row>
    <row r="33" spans="1:10" ht="38.25">
      <c r="A33" s="35">
        <v>10</v>
      </c>
      <c r="B33" s="44" t="s">
        <v>90</v>
      </c>
      <c r="C33" s="34" t="s">
        <v>74</v>
      </c>
      <c r="D33" s="33" t="s">
        <v>50</v>
      </c>
      <c r="E33" s="42">
        <v>622</v>
      </c>
      <c r="F33" s="40"/>
      <c r="G33" s="40">
        <f t="shared" si="1"/>
        <v>0</v>
      </c>
      <c r="H33" s="32"/>
      <c r="I33" s="32"/>
      <c r="J33" s="32"/>
    </row>
    <row r="34" spans="1:10" ht="51">
      <c r="A34" s="35">
        <v>11</v>
      </c>
      <c r="B34" s="44" t="s">
        <v>87</v>
      </c>
      <c r="C34" s="34" t="s">
        <v>77</v>
      </c>
      <c r="D34" s="33" t="s">
        <v>50</v>
      </c>
      <c r="E34" s="42">
        <v>622</v>
      </c>
      <c r="F34" s="56"/>
      <c r="G34" s="40">
        <f t="shared" si="1"/>
        <v>0</v>
      </c>
      <c r="H34" s="32"/>
      <c r="I34" s="32"/>
      <c r="J34" s="32"/>
    </row>
    <row r="35" spans="1:10">
      <c r="A35" s="36"/>
      <c r="B35" s="51"/>
      <c r="C35" s="50" t="s">
        <v>75</v>
      </c>
      <c r="D35" s="36"/>
      <c r="E35" s="36"/>
      <c r="F35" s="39"/>
      <c r="G35" s="39"/>
      <c r="H35" s="32"/>
      <c r="I35" s="32"/>
      <c r="J35" s="32"/>
    </row>
    <row r="36" spans="1:10" ht="38.25">
      <c r="A36" s="35">
        <v>12</v>
      </c>
      <c r="B36" s="44" t="s">
        <v>90</v>
      </c>
      <c r="C36" s="34" t="s">
        <v>76</v>
      </c>
      <c r="D36" s="33" t="s">
        <v>50</v>
      </c>
      <c r="E36" s="42">
        <v>268</v>
      </c>
      <c r="F36" s="40"/>
      <c r="G36" s="40">
        <f t="shared" si="1"/>
        <v>0</v>
      </c>
      <c r="H36" s="32"/>
      <c r="I36" s="32"/>
      <c r="J36" s="32"/>
    </row>
    <row r="37" spans="1:10" ht="51">
      <c r="A37" s="35">
        <v>13</v>
      </c>
      <c r="B37" s="44" t="s">
        <v>89</v>
      </c>
      <c r="C37" s="34" t="s">
        <v>78</v>
      </c>
      <c r="D37" s="33" t="s">
        <v>50</v>
      </c>
      <c r="E37" s="42">
        <v>268</v>
      </c>
      <c r="F37" s="56"/>
      <c r="G37" s="40">
        <f t="shared" si="1"/>
        <v>0</v>
      </c>
      <c r="H37" s="59"/>
      <c r="I37" s="32"/>
      <c r="J37" s="32"/>
    </row>
    <row r="38" spans="1:10">
      <c r="A38" s="36"/>
      <c r="B38" s="51"/>
      <c r="C38" s="50" t="s">
        <v>79</v>
      </c>
      <c r="D38" s="36"/>
      <c r="E38" s="36"/>
      <c r="F38" s="39"/>
      <c r="G38" s="39"/>
    </row>
    <row r="39" spans="1:10" ht="76.5">
      <c r="A39" s="65">
        <v>14</v>
      </c>
      <c r="B39" s="72" t="s">
        <v>110</v>
      </c>
      <c r="C39" s="67" t="s">
        <v>102</v>
      </c>
      <c r="D39" s="65" t="s">
        <v>51</v>
      </c>
      <c r="E39" s="68">
        <v>76</v>
      </c>
      <c r="F39" s="66"/>
      <c r="G39" s="40">
        <f t="shared" si="1"/>
        <v>0</v>
      </c>
    </row>
    <row r="40" spans="1:10" ht="51">
      <c r="A40" s="35">
        <v>15</v>
      </c>
      <c r="B40" s="57" t="s">
        <v>88</v>
      </c>
      <c r="C40" s="58" t="s">
        <v>106</v>
      </c>
      <c r="D40" s="35" t="s">
        <v>50</v>
      </c>
      <c r="E40" s="42">
        <v>611.6</v>
      </c>
      <c r="F40" s="56"/>
      <c r="G40" s="40">
        <f t="shared" si="1"/>
        <v>0</v>
      </c>
    </row>
    <row r="41" spans="1:10" ht="38.25">
      <c r="A41" s="35">
        <v>16</v>
      </c>
      <c r="B41" s="57" t="s">
        <v>88</v>
      </c>
      <c r="C41" s="58" t="s">
        <v>104</v>
      </c>
      <c r="D41" s="35" t="s">
        <v>51</v>
      </c>
      <c r="E41" s="42">
        <v>8</v>
      </c>
      <c r="F41" s="56"/>
      <c r="G41" s="40">
        <f t="shared" si="1"/>
        <v>0</v>
      </c>
    </row>
    <row r="42" spans="1:10">
      <c r="A42" s="36"/>
      <c r="B42" s="51"/>
      <c r="C42" s="50" t="s">
        <v>98</v>
      </c>
      <c r="D42" s="36"/>
      <c r="E42" s="36"/>
      <c r="F42" s="39"/>
      <c r="G42" s="39"/>
    </row>
    <row r="43" spans="1:10" ht="25.5">
      <c r="A43" s="35">
        <v>17</v>
      </c>
      <c r="B43" s="73" t="s">
        <v>111</v>
      </c>
      <c r="C43" s="58" t="s">
        <v>99</v>
      </c>
      <c r="D43" s="33" t="s">
        <v>101</v>
      </c>
      <c r="E43" s="42">
        <v>2</v>
      </c>
      <c r="F43" s="56"/>
      <c r="G43" s="40">
        <f t="shared" si="1"/>
        <v>0</v>
      </c>
    </row>
    <row r="44" spans="1:10" ht="38.25">
      <c r="A44" s="35">
        <v>18</v>
      </c>
      <c r="B44" s="73" t="s">
        <v>111</v>
      </c>
      <c r="C44" s="58" t="s">
        <v>100</v>
      </c>
      <c r="D44" s="33" t="s">
        <v>101</v>
      </c>
      <c r="E44" s="42">
        <v>2</v>
      </c>
      <c r="F44" s="56"/>
      <c r="G44" s="40">
        <f t="shared" si="1"/>
        <v>0</v>
      </c>
    </row>
    <row r="45" spans="1:10">
      <c r="A45" s="36"/>
      <c r="B45" s="51"/>
      <c r="C45" s="50" t="s">
        <v>98</v>
      </c>
      <c r="D45" s="36"/>
      <c r="E45" s="36"/>
      <c r="F45" s="39"/>
      <c r="G45" s="39"/>
    </row>
    <row r="46" spans="1:10" ht="25.5">
      <c r="A46" s="35">
        <v>19</v>
      </c>
      <c r="B46" s="73" t="s">
        <v>88</v>
      </c>
      <c r="C46" s="58" t="s">
        <v>113</v>
      </c>
      <c r="D46" s="33" t="s">
        <v>50</v>
      </c>
      <c r="E46" s="42">
        <v>925</v>
      </c>
      <c r="F46" s="56"/>
      <c r="G46" s="40">
        <f t="shared" ref="G46" si="3">ROUND(E46*F46,2)</f>
        <v>0</v>
      </c>
    </row>
    <row r="47" spans="1:10" ht="24.95" customHeight="1">
      <c r="A47" s="53"/>
      <c r="B47" s="53"/>
      <c r="C47" s="53"/>
      <c r="D47" s="80" t="s">
        <v>82</v>
      </c>
      <c r="E47" s="80"/>
      <c r="F47" s="80"/>
      <c r="G47" s="54">
        <f>SUM(G19:G46)</f>
        <v>0</v>
      </c>
    </row>
    <row r="48" spans="1:10" ht="24.95" customHeight="1">
      <c r="A48" s="53"/>
      <c r="B48" s="53"/>
      <c r="C48" s="55"/>
      <c r="D48" s="80" t="s">
        <v>83</v>
      </c>
      <c r="E48" s="80"/>
      <c r="F48" s="80"/>
      <c r="G48" s="54">
        <f>ROUND(G47*23%,2)</f>
        <v>0</v>
      </c>
    </row>
    <row r="49" spans="1:7" ht="24.95" customHeight="1">
      <c r="A49" s="53"/>
      <c r="B49" s="53"/>
      <c r="C49" s="55"/>
      <c r="D49" s="80" t="s">
        <v>84</v>
      </c>
      <c r="E49" s="80"/>
      <c r="F49" s="80"/>
      <c r="G49" s="54">
        <f>G47+G48</f>
        <v>0</v>
      </c>
    </row>
    <row r="52" spans="1:7" ht="27.75" customHeight="1">
      <c r="A52" s="79" t="s">
        <v>126</v>
      </c>
      <c r="B52" s="79"/>
      <c r="C52" s="79"/>
      <c r="D52" s="79"/>
      <c r="E52" s="79"/>
      <c r="F52" s="79"/>
      <c r="G52" s="79"/>
    </row>
  </sheetData>
  <mergeCells count="17">
    <mergeCell ref="A16:G16"/>
    <mergeCell ref="A1:C1"/>
    <mergeCell ref="D1:G1"/>
    <mergeCell ref="A2:G2"/>
    <mergeCell ref="A5:C5"/>
    <mergeCell ref="A6:C6"/>
    <mergeCell ref="A12:C12"/>
    <mergeCell ref="A7:C7"/>
    <mergeCell ref="A8:C8"/>
    <mergeCell ref="A9:C9"/>
    <mergeCell ref="A10:C10"/>
    <mergeCell ref="A11:C11"/>
    <mergeCell ref="A52:G52"/>
    <mergeCell ref="D47:F47"/>
    <mergeCell ref="D48:F48"/>
    <mergeCell ref="D49:F49"/>
    <mergeCell ref="A17:G17"/>
  </mergeCells>
  <phoneticPr fontId="8" type="noConversion"/>
  <printOptions horizontalCentered="1"/>
  <pageMargins left="0.59055118110236227" right="0.59055118110236227" top="0.59055118110236227" bottom="0.59055118110236227" header="0" footer="0"/>
  <pageSetup paperSize="9" scale="5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45"/>
  <sheetViews>
    <sheetView workbookViewId="0"/>
  </sheetViews>
  <sheetFormatPr defaultRowHeight="14.25"/>
  <cols>
    <col min="1" max="1" width="12.25" customWidth="1"/>
    <col min="2" max="2" width="6.125" customWidth="1"/>
    <col min="3" max="3" width="11.375" customWidth="1"/>
    <col min="4" max="4" width="9.875" customWidth="1"/>
    <col min="5" max="5" width="14.375" customWidth="1"/>
    <col min="6" max="6" width="14.75" customWidth="1"/>
    <col min="7" max="7" width="10.125" customWidth="1"/>
    <col min="8" max="8" width="10" customWidth="1"/>
    <col min="9" max="9" width="10.75" customWidth="1"/>
    <col min="10" max="10" width="11.375" customWidth="1"/>
  </cols>
  <sheetData>
    <row r="1" spans="1:11">
      <c r="J1" s="1" t="s">
        <v>0</v>
      </c>
    </row>
    <row r="2" spans="1:11" ht="18">
      <c r="A2" s="3" t="s">
        <v>1</v>
      </c>
      <c r="D2" s="2"/>
      <c r="E2" s="2"/>
      <c r="F2" s="2"/>
      <c r="G2" s="2"/>
      <c r="H2" s="2"/>
    </row>
    <row r="4" spans="1:11" ht="15.75">
      <c r="A4" s="4" t="s">
        <v>2</v>
      </c>
    </row>
    <row r="5" spans="1:11" ht="15" thickBot="1"/>
    <row r="6" spans="1:11" ht="25.5">
      <c r="A6" s="9" t="s">
        <v>55</v>
      </c>
      <c r="B6" s="95" t="s">
        <v>60</v>
      </c>
      <c r="C6" s="10" t="s">
        <v>35</v>
      </c>
      <c r="D6" s="11" t="s">
        <v>37</v>
      </c>
      <c r="E6" s="97" t="s">
        <v>38</v>
      </c>
      <c r="F6" s="97" t="s">
        <v>39</v>
      </c>
      <c r="G6" s="97" t="s">
        <v>40</v>
      </c>
      <c r="H6" s="97" t="s">
        <v>41</v>
      </c>
      <c r="I6" s="97" t="s">
        <v>53</v>
      </c>
      <c r="J6" s="91" t="s">
        <v>42</v>
      </c>
      <c r="K6" s="6"/>
    </row>
    <row r="7" spans="1:11" ht="84.75" customHeight="1" thickBot="1">
      <c r="A7" s="12" t="s">
        <v>3</v>
      </c>
      <c r="B7" s="96"/>
      <c r="C7" s="13" t="s">
        <v>36</v>
      </c>
      <c r="D7" s="14" t="s">
        <v>43</v>
      </c>
      <c r="E7" s="98"/>
      <c r="F7" s="98"/>
      <c r="G7" s="98"/>
      <c r="H7" s="98"/>
      <c r="I7" s="98"/>
      <c r="J7" s="92"/>
      <c r="K7" s="6"/>
    </row>
    <row r="8" spans="1:11" ht="13.5" customHeight="1" thickBot="1">
      <c r="A8" s="15"/>
      <c r="B8" s="16"/>
      <c r="C8" s="17" t="s">
        <v>59</v>
      </c>
      <c r="D8" s="17" t="s">
        <v>52</v>
      </c>
      <c r="E8" s="17" t="s">
        <v>50</v>
      </c>
      <c r="F8" s="17" t="s">
        <v>50</v>
      </c>
      <c r="G8" s="17" t="s">
        <v>50</v>
      </c>
      <c r="H8" s="17" t="s">
        <v>50</v>
      </c>
      <c r="I8" s="17" t="s">
        <v>52</v>
      </c>
      <c r="J8" s="18" t="s">
        <v>50</v>
      </c>
      <c r="K8" s="6"/>
    </row>
    <row r="9" spans="1:11">
      <c r="A9" s="28" t="s">
        <v>4</v>
      </c>
      <c r="B9" s="7" t="s">
        <v>57</v>
      </c>
      <c r="C9" s="29">
        <v>4.5</v>
      </c>
      <c r="D9" s="27">
        <f>0.86*C9*1.1</f>
        <v>4.2570000000000006</v>
      </c>
      <c r="E9" s="27">
        <f>2*0.5*(2.7+0.6)*0.7*1.1</f>
        <v>2.5410000000000004</v>
      </c>
      <c r="F9" s="27">
        <v>26</v>
      </c>
      <c r="G9" s="27">
        <v>5</v>
      </c>
      <c r="H9" s="27">
        <f>4.7*C9*1.1</f>
        <v>23.265000000000004</v>
      </c>
      <c r="I9" s="27">
        <f>0.6*0.3*C9*1.1</f>
        <v>0.89100000000000001</v>
      </c>
      <c r="J9" s="30">
        <f>2*C9*1.1</f>
        <v>9.9</v>
      </c>
      <c r="K9" s="6"/>
    </row>
    <row r="10" spans="1:11">
      <c r="A10" s="19" t="s">
        <v>5</v>
      </c>
      <c r="B10" s="5" t="s">
        <v>57</v>
      </c>
      <c r="C10" s="24">
        <v>4.5</v>
      </c>
      <c r="D10" s="26">
        <f>0.9*C10*1.1</f>
        <v>4.4550000000000001</v>
      </c>
      <c r="E10" s="27">
        <f t="shared" ref="E10:E44" si="0">2*0.5*(2.7+0.6)*0.7*1.1</f>
        <v>2.5410000000000004</v>
      </c>
      <c r="F10" s="22">
        <v>26</v>
      </c>
      <c r="G10" s="22">
        <v>5</v>
      </c>
      <c r="H10" s="27">
        <f>4.7*C10*1.1</f>
        <v>23.265000000000004</v>
      </c>
      <c r="I10" s="27">
        <f t="shared" ref="I10:I44" si="1">0.6*0.3*C10*1.1</f>
        <v>0.89100000000000001</v>
      </c>
      <c r="J10" s="30">
        <f>2*C10*1.1</f>
        <v>9.9</v>
      </c>
      <c r="K10" s="6"/>
    </row>
    <row r="11" spans="1:11">
      <c r="A11" s="19" t="s">
        <v>6</v>
      </c>
      <c r="B11" s="5" t="s">
        <v>56</v>
      </c>
      <c r="C11" s="24">
        <v>4</v>
      </c>
      <c r="D11" s="26">
        <f>0.9*C11*1.1</f>
        <v>3.9600000000000004</v>
      </c>
      <c r="E11" s="27">
        <f t="shared" si="0"/>
        <v>2.5410000000000004</v>
      </c>
      <c r="F11" s="22">
        <v>25</v>
      </c>
      <c r="G11" s="22">
        <v>5</v>
      </c>
      <c r="H11" s="27">
        <f>4.7*C11*1.1</f>
        <v>20.680000000000003</v>
      </c>
      <c r="I11" s="27">
        <f t="shared" si="1"/>
        <v>0.79200000000000004</v>
      </c>
      <c r="J11" s="30">
        <f>2*C11*1.1</f>
        <v>8.8000000000000007</v>
      </c>
      <c r="K11" s="6"/>
    </row>
    <row r="12" spans="1:11">
      <c r="A12" s="19" t="s">
        <v>7</v>
      </c>
      <c r="B12" s="5" t="s">
        <v>56</v>
      </c>
      <c r="C12" s="24">
        <v>4.2</v>
      </c>
      <c r="D12" s="26">
        <f>0.84*C12*1.1</f>
        <v>3.8808000000000002</v>
      </c>
      <c r="E12" s="27">
        <f t="shared" si="0"/>
        <v>2.5410000000000004</v>
      </c>
      <c r="F12" s="22">
        <v>26</v>
      </c>
      <c r="G12" s="22">
        <v>5</v>
      </c>
      <c r="H12" s="27">
        <f>4.8*C12*1.1</f>
        <v>22.176000000000002</v>
      </c>
      <c r="I12" s="27">
        <f t="shared" si="1"/>
        <v>0.83160000000000012</v>
      </c>
      <c r="J12" s="30">
        <f t="shared" ref="J12:J44" si="2">2*C12*1.1</f>
        <v>9.240000000000002</v>
      </c>
      <c r="K12" s="6"/>
    </row>
    <row r="13" spans="1:11">
      <c r="A13" s="19" t="s">
        <v>8</v>
      </c>
      <c r="B13" s="5" t="s">
        <v>57</v>
      </c>
      <c r="C13" s="24">
        <v>4.5</v>
      </c>
      <c r="D13" s="26">
        <f>1.07*C13*1.1</f>
        <v>5.2965000000000009</v>
      </c>
      <c r="E13" s="27">
        <f t="shared" si="0"/>
        <v>2.5410000000000004</v>
      </c>
      <c r="F13" s="22">
        <v>26</v>
      </c>
      <c r="G13" s="22">
        <v>7</v>
      </c>
      <c r="H13" s="27">
        <f>4.5*C13*1.1</f>
        <v>22.275000000000002</v>
      </c>
      <c r="I13" s="27">
        <f t="shared" si="1"/>
        <v>0.89100000000000001</v>
      </c>
      <c r="J13" s="30">
        <f t="shared" si="2"/>
        <v>9.9</v>
      </c>
      <c r="K13" s="6"/>
    </row>
    <row r="14" spans="1:11">
      <c r="A14" s="19" t="s">
        <v>9</v>
      </c>
      <c r="B14" s="5" t="s">
        <v>57</v>
      </c>
      <c r="C14" s="24">
        <v>4.5</v>
      </c>
      <c r="D14" s="26">
        <f>1.09*C14*1.1</f>
        <v>5.3955000000000011</v>
      </c>
      <c r="E14" s="27">
        <f t="shared" si="0"/>
        <v>2.5410000000000004</v>
      </c>
      <c r="F14" s="22">
        <v>26</v>
      </c>
      <c r="G14" s="22">
        <v>7</v>
      </c>
      <c r="H14" s="27">
        <f>4.7*C14*1.1</f>
        <v>23.265000000000004</v>
      </c>
      <c r="I14" s="27">
        <f t="shared" si="1"/>
        <v>0.89100000000000001</v>
      </c>
      <c r="J14" s="30">
        <f t="shared" si="2"/>
        <v>9.9</v>
      </c>
      <c r="K14" s="6"/>
    </row>
    <row r="15" spans="1:11">
      <c r="A15" s="19" t="s">
        <v>10</v>
      </c>
      <c r="B15" s="5" t="s">
        <v>57</v>
      </c>
      <c r="C15" s="24">
        <v>4.5</v>
      </c>
      <c r="D15" s="26">
        <f>0.95*C15*1.1</f>
        <v>4.7024999999999997</v>
      </c>
      <c r="E15" s="27">
        <f t="shared" si="0"/>
        <v>2.5410000000000004</v>
      </c>
      <c r="F15" s="22">
        <v>26</v>
      </c>
      <c r="G15" s="22">
        <v>6</v>
      </c>
      <c r="H15" s="27">
        <f>4.7*C15*1.1</f>
        <v>23.265000000000004</v>
      </c>
      <c r="I15" s="27">
        <f t="shared" si="1"/>
        <v>0.89100000000000001</v>
      </c>
      <c r="J15" s="30">
        <f t="shared" si="2"/>
        <v>9.9</v>
      </c>
      <c r="K15" s="6"/>
    </row>
    <row r="16" spans="1:11">
      <c r="A16" s="19" t="s">
        <v>11</v>
      </c>
      <c r="B16" s="5" t="s">
        <v>57</v>
      </c>
      <c r="C16" s="24">
        <v>6.5</v>
      </c>
      <c r="D16" s="26">
        <f>4.27*C16*1.1</f>
        <v>30.530499999999996</v>
      </c>
      <c r="E16" s="27">
        <f t="shared" si="0"/>
        <v>2.5410000000000004</v>
      </c>
      <c r="F16" s="22">
        <v>32</v>
      </c>
      <c r="G16" s="22">
        <v>12</v>
      </c>
      <c r="H16" s="27">
        <f>5.5*C16*1.1</f>
        <v>39.325000000000003</v>
      </c>
      <c r="I16" s="27">
        <f t="shared" si="1"/>
        <v>1.2869999999999999</v>
      </c>
      <c r="J16" s="30">
        <f t="shared" si="2"/>
        <v>14.3</v>
      </c>
      <c r="K16" s="6"/>
    </row>
    <row r="17" spans="1:11">
      <c r="A17" s="19" t="s">
        <v>12</v>
      </c>
      <c r="B17" s="5" t="s">
        <v>57</v>
      </c>
      <c r="C17" s="24">
        <v>4.5</v>
      </c>
      <c r="D17" s="26">
        <f>0.9*C17*1.1</f>
        <v>4.4550000000000001</v>
      </c>
      <c r="E17" s="27">
        <f t="shared" si="0"/>
        <v>2.5410000000000004</v>
      </c>
      <c r="F17" s="22">
        <v>26</v>
      </c>
      <c r="G17" s="22">
        <v>5</v>
      </c>
      <c r="H17" s="27">
        <f>4.6*C17*1.1</f>
        <v>22.77</v>
      </c>
      <c r="I17" s="27">
        <f t="shared" si="1"/>
        <v>0.89100000000000001</v>
      </c>
      <c r="J17" s="30">
        <f t="shared" si="2"/>
        <v>9.9</v>
      </c>
      <c r="K17" s="6"/>
    </row>
    <row r="18" spans="1:11">
      <c r="A18" s="19" t="s">
        <v>13</v>
      </c>
      <c r="B18" s="5" t="s">
        <v>57</v>
      </c>
      <c r="C18" s="24">
        <v>4.5</v>
      </c>
      <c r="D18" s="26">
        <f>1.09*C18*1.1</f>
        <v>5.3955000000000011</v>
      </c>
      <c r="E18" s="27">
        <f t="shared" si="0"/>
        <v>2.5410000000000004</v>
      </c>
      <c r="F18" s="22">
        <v>26</v>
      </c>
      <c r="G18" s="22">
        <v>6</v>
      </c>
      <c r="H18" s="27">
        <f>4.5*C18*1.1</f>
        <v>22.275000000000002</v>
      </c>
      <c r="I18" s="27">
        <f t="shared" si="1"/>
        <v>0.89100000000000001</v>
      </c>
      <c r="J18" s="30">
        <f t="shared" si="2"/>
        <v>9.9</v>
      </c>
      <c r="K18" s="6"/>
    </row>
    <row r="19" spans="1:11">
      <c r="A19" s="19" t="s">
        <v>14</v>
      </c>
      <c r="B19" s="5" t="s">
        <v>57</v>
      </c>
      <c r="C19" s="24">
        <v>5.7</v>
      </c>
      <c r="D19" s="26">
        <f>2.65*C19*1.1</f>
        <v>16.615500000000001</v>
      </c>
      <c r="E19" s="27">
        <f t="shared" si="0"/>
        <v>2.5410000000000004</v>
      </c>
      <c r="F19" s="22">
        <v>27</v>
      </c>
      <c r="G19" s="22">
        <v>10</v>
      </c>
      <c r="H19" s="27">
        <f>5.1*C19*1.1</f>
        <v>31.977000000000004</v>
      </c>
      <c r="I19" s="27">
        <f t="shared" si="1"/>
        <v>1.1286</v>
      </c>
      <c r="J19" s="30">
        <f t="shared" si="2"/>
        <v>12.540000000000001</v>
      </c>
      <c r="K19" s="6"/>
    </row>
    <row r="20" spans="1:11">
      <c r="A20" s="19" t="s">
        <v>15</v>
      </c>
      <c r="B20" s="5" t="s">
        <v>57</v>
      </c>
      <c r="C20" s="24">
        <v>4.5</v>
      </c>
      <c r="D20" s="26">
        <f>1.26*C20*1.1</f>
        <v>6.2370000000000001</v>
      </c>
      <c r="E20" s="27">
        <f t="shared" si="0"/>
        <v>2.5410000000000004</v>
      </c>
      <c r="F20" s="22">
        <v>26</v>
      </c>
      <c r="G20" s="22">
        <v>6</v>
      </c>
      <c r="H20" s="27">
        <f>4.6*C20*1.1</f>
        <v>22.77</v>
      </c>
      <c r="I20" s="27">
        <f t="shared" si="1"/>
        <v>0.89100000000000001</v>
      </c>
      <c r="J20" s="30">
        <f t="shared" si="2"/>
        <v>9.9</v>
      </c>
      <c r="K20" s="6"/>
    </row>
    <row r="21" spans="1:11">
      <c r="A21" s="19" t="s">
        <v>16</v>
      </c>
      <c r="B21" s="5" t="s">
        <v>57</v>
      </c>
      <c r="C21" s="24">
        <v>4</v>
      </c>
      <c r="D21" s="26">
        <f>0.8*C21*1.1</f>
        <v>3.5200000000000005</v>
      </c>
      <c r="E21" s="27">
        <f t="shared" si="0"/>
        <v>2.5410000000000004</v>
      </c>
      <c r="F21" s="22">
        <v>25</v>
      </c>
      <c r="G21" s="22">
        <v>4</v>
      </c>
      <c r="H21" s="27">
        <f t="shared" ref="H21:H26" si="3">4.4*C21*1.1</f>
        <v>19.360000000000003</v>
      </c>
      <c r="I21" s="27">
        <f t="shared" si="1"/>
        <v>0.79200000000000004</v>
      </c>
      <c r="J21" s="30">
        <f t="shared" si="2"/>
        <v>8.8000000000000007</v>
      </c>
      <c r="K21" s="6"/>
    </row>
    <row r="22" spans="1:11">
      <c r="A22" s="19" t="s">
        <v>17</v>
      </c>
      <c r="B22" s="5" t="s">
        <v>56</v>
      </c>
      <c r="C22" s="24">
        <v>4.2</v>
      </c>
      <c r="D22" s="26">
        <f>0.9*C22*1.1</f>
        <v>4.1580000000000004</v>
      </c>
      <c r="E22" s="27">
        <f t="shared" si="0"/>
        <v>2.5410000000000004</v>
      </c>
      <c r="F22" s="22">
        <v>24</v>
      </c>
      <c r="G22" s="22">
        <v>4</v>
      </c>
      <c r="H22" s="27">
        <f t="shared" si="3"/>
        <v>20.328000000000007</v>
      </c>
      <c r="I22" s="27">
        <f t="shared" si="1"/>
        <v>0.83160000000000012</v>
      </c>
      <c r="J22" s="30">
        <f t="shared" si="2"/>
        <v>9.240000000000002</v>
      </c>
      <c r="K22" s="6"/>
    </row>
    <row r="23" spans="1:11">
      <c r="A23" s="19" t="s">
        <v>18</v>
      </c>
      <c r="B23" s="5" t="s">
        <v>56</v>
      </c>
      <c r="C23" s="24">
        <v>4</v>
      </c>
      <c r="D23" s="26">
        <f>0.86*C23*1.1</f>
        <v>3.7840000000000003</v>
      </c>
      <c r="E23" s="27">
        <f t="shared" si="0"/>
        <v>2.5410000000000004</v>
      </c>
      <c r="F23" s="22">
        <v>24</v>
      </c>
      <c r="G23" s="22">
        <v>4</v>
      </c>
      <c r="H23" s="27">
        <f t="shared" si="3"/>
        <v>19.360000000000003</v>
      </c>
      <c r="I23" s="27">
        <f t="shared" si="1"/>
        <v>0.79200000000000004</v>
      </c>
      <c r="J23" s="30">
        <f t="shared" si="2"/>
        <v>8.8000000000000007</v>
      </c>
      <c r="K23" s="6"/>
    </row>
    <row r="24" spans="1:11">
      <c r="A24" s="19" t="s">
        <v>19</v>
      </c>
      <c r="B24" s="5" t="s">
        <v>57</v>
      </c>
      <c r="C24" s="24">
        <v>4.5</v>
      </c>
      <c r="D24" s="26">
        <f>0.89*C24*1.1</f>
        <v>4.4055</v>
      </c>
      <c r="E24" s="27">
        <f t="shared" si="0"/>
        <v>2.5410000000000004</v>
      </c>
      <c r="F24" s="22">
        <v>24</v>
      </c>
      <c r="G24" s="22">
        <v>4</v>
      </c>
      <c r="H24" s="27">
        <f t="shared" si="3"/>
        <v>21.78</v>
      </c>
      <c r="I24" s="27">
        <f t="shared" si="1"/>
        <v>0.89100000000000001</v>
      </c>
      <c r="J24" s="30">
        <f t="shared" si="2"/>
        <v>9.9</v>
      </c>
      <c r="K24" s="6"/>
    </row>
    <row r="25" spans="1:11">
      <c r="A25" s="19" t="s">
        <v>20</v>
      </c>
      <c r="B25" s="5" t="s">
        <v>57</v>
      </c>
      <c r="C25" s="24">
        <v>4.2</v>
      </c>
      <c r="D25" s="26">
        <f>1*C25*1.1</f>
        <v>4.620000000000001</v>
      </c>
      <c r="E25" s="27">
        <f t="shared" si="0"/>
        <v>2.5410000000000004</v>
      </c>
      <c r="F25" s="22">
        <v>24</v>
      </c>
      <c r="G25" s="22">
        <v>5</v>
      </c>
      <c r="H25" s="27">
        <f t="shared" si="3"/>
        <v>20.328000000000007</v>
      </c>
      <c r="I25" s="27">
        <f t="shared" si="1"/>
        <v>0.83160000000000012</v>
      </c>
      <c r="J25" s="30">
        <f t="shared" si="2"/>
        <v>9.240000000000002</v>
      </c>
      <c r="K25" s="6"/>
    </row>
    <row r="26" spans="1:11">
      <c r="A26" s="19" t="s">
        <v>22</v>
      </c>
      <c r="B26" s="5" t="s">
        <v>57</v>
      </c>
      <c r="C26" s="24">
        <v>4</v>
      </c>
      <c r="D26" s="26">
        <f>0.84*C26*1.1</f>
        <v>3.6960000000000002</v>
      </c>
      <c r="E26" s="27">
        <f t="shared" si="0"/>
        <v>2.5410000000000004</v>
      </c>
      <c r="F26" s="22">
        <v>24</v>
      </c>
      <c r="G26" s="22">
        <v>4</v>
      </c>
      <c r="H26" s="27">
        <f t="shared" si="3"/>
        <v>19.360000000000003</v>
      </c>
      <c r="I26" s="27">
        <f t="shared" si="1"/>
        <v>0.79200000000000004</v>
      </c>
      <c r="J26" s="30">
        <f t="shared" si="2"/>
        <v>8.8000000000000007</v>
      </c>
      <c r="K26" s="6"/>
    </row>
    <row r="27" spans="1:11">
      <c r="A27" s="19" t="s">
        <v>21</v>
      </c>
      <c r="B27" s="5" t="s">
        <v>57</v>
      </c>
      <c r="C27" s="24">
        <v>4.5</v>
      </c>
      <c r="D27" s="26">
        <f>1.21*C27*1.1</f>
        <v>5.9895000000000005</v>
      </c>
      <c r="E27" s="27">
        <f t="shared" si="0"/>
        <v>2.5410000000000004</v>
      </c>
      <c r="F27" s="22">
        <v>24</v>
      </c>
      <c r="G27" s="22">
        <v>7</v>
      </c>
      <c r="H27" s="27">
        <f>4.6*C27*1.1</f>
        <v>22.77</v>
      </c>
      <c r="I27" s="27">
        <f t="shared" si="1"/>
        <v>0.89100000000000001</v>
      </c>
      <c r="J27" s="30">
        <f t="shared" si="2"/>
        <v>9.9</v>
      </c>
      <c r="K27" s="6"/>
    </row>
    <row r="28" spans="1:11">
      <c r="A28" s="19" t="s">
        <v>48</v>
      </c>
      <c r="B28" s="8" t="s">
        <v>58</v>
      </c>
      <c r="C28" s="24">
        <v>4</v>
      </c>
      <c r="D28" s="26">
        <f>0.8*C28*1.1</f>
        <v>3.5200000000000005</v>
      </c>
      <c r="E28" s="27">
        <f t="shared" si="0"/>
        <v>2.5410000000000004</v>
      </c>
      <c r="F28" s="22">
        <v>24</v>
      </c>
      <c r="G28" s="22">
        <v>4</v>
      </c>
      <c r="H28" s="27">
        <f>4.5*C28*1.1</f>
        <v>19.8</v>
      </c>
      <c r="I28" s="27">
        <f t="shared" si="1"/>
        <v>0.79200000000000004</v>
      </c>
      <c r="J28" s="30">
        <f t="shared" si="2"/>
        <v>8.8000000000000007</v>
      </c>
      <c r="K28" s="6"/>
    </row>
    <row r="29" spans="1:11">
      <c r="A29" s="19" t="s">
        <v>47</v>
      </c>
      <c r="B29" s="8" t="s">
        <v>58</v>
      </c>
      <c r="C29" s="24">
        <v>4.5</v>
      </c>
      <c r="D29" s="26">
        <f>1*C29*1.1</f>
        <v>4.95</v>
      </c>
      <c r="E29" s="27">
        <f t="shared" si="0"/>
        <v>2.5410000000000004</v>
      </c>
      <c r="F29" s="22">
        <v>24</v>
      </c>
      <c r="G29" s="22">
        <v>5</v>
      </c>
      <c r="H29" s="27">
        <f>4.5*C29*1.1</f>
        <v>22.275000000000002</v>
      </c>
      <c r="I29" s="27">
        <f t="shared" si="1"/>
        <v>0.89100000000000001</v>
      </c>
      <c r="J29" s="30">
        <f t="shared" si="2"/>
        <v>9.9</v>
      </c>
      <c r="K29" s="6"/>
    </row>
    <row r="30" spans="1:11">
      <c r="A30" s="19" t="s">
        <v>46</v>
      </c>
      <c r="B30" s="8" t="s">
        <v>58</v>
      </c>
      <c r="C30" s="24">
        <v>4.5</v>
      </c>
      <c r="D30" s="26">
        <f>1.29*C30*1.1</f>
        <v>6.3855000000000004</v>
      </c>
      <c r="E30" s="27">
        <f t="shared" si="0"/>
        <v>2.5410000000000004</v>
      </c>
      <c r="F30" s="22">
        <v>24</v>
      </c>
      <c r="G30" s="22">
        <v>6</v>
      </c>
      <c r="H30" s="27">
        <f>4.5*C30*1.1</f>
        <v>22.275000000000002</v>
      </c>
      <c r="I30" s="27">
        <f t="shared" si="1"/>
        <v>0.89100000000000001</v>
      </c>
      <c r="J30" s="30">
        <f t="shared" si="2"/>
        <v>9.9</v>
      </c>
      <c r="K30" s="6"/>
    </row>
    <row r="31" spans="1:11">
      <c r="A31" s="19" t="s">
        <v>45</v>
      </c>
      <c r="B31" s="8" t="s">
        <v>58</v>
      </c>
      <c r="C31" s="24">
        <v>4.5</v>
      </c>
      <c r="D31" s="26">
        <f>1.15*C31*1.1</f>
        <v>5.6924999999999999</v>
      </c>
      <c r="E31" s="27">
        <f t="shared" si="0"/>
        <v>2.5410000000000004</v>
      </c>
      <c r="F31" s="22">
        <v>24</v>
      </c>
      <c r="G31" s="22">
        <v>6</v>
      </c>
      <c r="H31" s="27">
        <f>4.5*C31*1.1</f>
        <v>22.275000000000002</v>
      </c>
      <c r="I31" s="27">
        <f t="shared" si="1"/>
        <v>0.89100000000000001</v>
      </c>
      <c r="J31" s="30">
        <f t="shared" si="2"/>
        <v>9.9</v>
      </c>
      <c r="K31" s="6"/>
    </row>
    <row r="32" spans="1:11">
      <c r="A32" s="19" t="s">
        <v>44</v>
      </c>
      <c r="B32" s="8" t="s">
        <v>58</v>
      </c>
      <c r="C32" s="24">
        <v>4.5</v>
      </c>
      <c r="D32" s="26">
        <f>1*C32*1.1</f>
        <v>4.95</v>
      </c>
      <c r="E32" s="27">
        <f t="shared" si="0"/>
        <v>2.5410000000000004</v>
      </c>
      <c r="F32" s="22">
        <v>24</v>
      </c>
      <c r="G32" s="22">
        <v>6</v>
      </c>
      <c r="H32" s="27">
        <f t="shared" ref="H32:H43" si="4">4.5*C32*1.1</f>
        <v>22.275000000000002</v>
      </c>
      <c r="I32" s="27">
        <f t="shared" si="1"/>
        <v>0.89100000000000001</v>
      </c>
      <c r="J32" s="30">
        <f t="shared" si="2"/>
        <v>9.9</v>
      </c>
      <c r="K32" s="6"/>
    </row>
    <row r="33" spans="1:11">
      <c r="A33" s="19" t="s">
        <v>23</v>
      </c>
      <c r="B33" s="5" t="s">
        <v>57</v>
      </c>
      <c r="C33" s="24">
        <v>4.5</v>
      </c>
      <c r="D33" s="26">
        <f>1.61*C33*1.1</f>
        <v>7.9695000000000009</v>
      </c>
      <c r="E33" s="27">
        <f t="shared" si="0"/>
        <v>2.5410000000000004</v>
      </c>
      <c r="F33" s="22">
        <v>24</v>
      </c>
      <c r="G33" s="22">
        <v>6</v>
      </c>
      <c r="H33" s="27">
        <f>5.6*C33*1.1</f>
        <v>27.720000000000002</v>
      </c>
      <c r="I33" s="27">
        <f t="shared" si="1"/>
        <v>0.89100000000000001</v>
      </c>
      <c r="J33" s="30">
        <f t="shared" si="2"/>
        <v>9.9</v>
      </c>
      <c r="K33" s="6"/>
    </row>
    <row r="34" spans="1:11">
      <c r="A34" s="19" t="s">
        <v>24</v>
      </c>
      <c r="B34" s="5" t="s">
        <v>57</v>
      </c>
      <c r="C34" s="24">
        <v>4.7</v>
      </c>
      <c r="D34" s="26">
        <f>1.46*C34*1.1</f>
        <v>7.5482000000000005</v>
      </c>
      <c r="E34" s="27">
        <f t="shared" si="0"/>
        <v>2.5410000000000004</v>
      </c>
      <c r="F34" s="22">
        <v>24</v>
      </c>
      <c r="G34" s="22">
        <v>7</v>
      </c>
      <c r="H34" s="27">
        <f t="shared" si="4"/>
        <v>23.265000000000004</v>
      </c>
      <c r="I34" s="27">
        <f t="shared" si="1"/>
        <v>0.93060000000000009</v>
      </c>
      <c r="J34" s="30">
        <f t="shared" si="2"/>
        <v>10.340000000000002</v>
      </c>
      <c r="K34" s="6"/>
    </row>
    <row r="35" spans="1:11">
      <c r="A35" s="19" t="s">
        <v>25</v>
      </c>
      <c r="B35" s="5" t="s">
        <v>57</v>
      </c>
      <c r="C35" s="24">
        <v>4.5</v>
      </c>
      <c r="D35" s="26">
        <f>0.9*C35*1.1</f>
        <v>4.4550000000000001</v>
      </c>
      <c r="E35" s="27">
        <f t="shared" si="0"/>
        <v>2.5410000000000004</v>
      </c>
      <c r="F35" s="22">
        <v>24</v>
      </c>
      <c r="G35" s="22">
        <v>4</v>
      </c>
      <c r="H35" s="27">
        <f t="shared" si="4"/>
        <v>22.275000000000002</v>
      </c>
      <c r="I35" s="27">
        <f t="shared" si="1"/>
        <v>0.89100000000000001</v>
      </c>
      <c r="J35" s="30">
        <f t="shared" si="2"/>
        <v>9.9</v>
      </c>
      <c r="K35" s="6"/>
    </row>
    <row r="36" spans="1:11">
      <c r="A36" s="19" t="s">
        <v>26</v>
      </c>
      <c r="B36" s="5" t="s">
        <v>57</v>
      </c>
      <c r="C36" s="24">
        <v>4</v>
      </c>
      <c r="D36" s="26">
        <f>0.8*C36*1.1</f>
        <v>3.5200000000000005</v>
      </c>
      <c r="E36" s="27">
        <f t="shared" si="0"/>
        <v>2.5410000000000004</v>
      </c>
      <c r="F36" s="22">
        <v>24</v>
      </c>
      <c r="G36" s="22">
        <v>4</v>
      </c>
      <c r="H36" s="27">
        <f t="shared" si="4"/>
        <v>19.8</v>
      </c>
      <c r="I36" s="27">
        <f t="shared" si="1"/>
        <v>0.79200000000000004</v>
      </c>
      <c r="J36" s="30">
        <f t="shared" si="2"/>
        <v>8.8000000000000007</v>
      </c>
      <c r="K36" s="6"/>
    </row>
    <row r="37" spans="1:11">
      <c r="A37" s="19" t="s">
        <v>27</v>
      </c>
      <c r="B37" s="5" t="s">
        <v>57</v>
      </c>
      <c r="C37" s="24">
        <v>7</v>
      </c>
      <c r="D37" s="26">
        <f>4.92*C37*1.1</f>
        <v>37.884</v>
      </c>
      <c r="E37" s="27">
        <f t="shared" si="0"/>
        <v>2.5410000000000004</v>
      </c>
      <c r="F37" s="22">
        <v>35</v>
      </c>
      <c r="G37" s="22">
        <v>12</v>
      </c>
      <c r="H37" s="27">
        <f>5.5*C37*1.1</f>
        <v>42.35</v>
      </c>
      <c r="I37" s="27">
        <f t="shared" si="1"/>
        <v>1.3860000000000001</v>
      </c>
      <c r="J37" s="30">
        <f t="shared" si="2"/>
        <v>15.400000000000002</v>
      </c>
      <c r="K37" s="6"/>
    </row>
    <row r="38" spans="1:11">
      <c r="A38" s="19" t="s">
        <v>28</v>
      </c>
      <c r="B38" s="5" t="s">
        <v>57</v>
      </c>
      <c r="C38" s="24">
        <v>5.5</v>
      </c>
      <c r="D38" s="26">
        <f>2.69*C38*1.1</f>
        <v>16.2745</v>
      </c>
      <c r="E38" s="27">
        <f t="shared" si="0"/>
        <v>2.5410000000000004</v>
      </c>
      <c r="F38" s="22">
        <v>27</v>
      </c>
      <c r="G38" s="22">
        <v>10</v>
      </c>
      <c r="H38" s="27">
        <f t="shared" si="4"/>
        <v>27.225000000000001</v>
      </c>
      <c r="I38" s="27">
        <f t="shared" si="1"/>
        <v>1.089</v>
      </c>
      <c r="J38" s="30">
        <f t="shared" si="2"/>
        <v>12.100000000000001</v>
      </c>
      <c r="K38" s="6"/>
    </row>
    <row r="39" spans="1:11">
      <c r="A39" s="19" t="s">
        <v>29</v>
      </c>
      <c r="B39" s="5" t="s">
        <v>57</v>
      </c>
      <c r="C39" s="24">
        <v>4.5</v>
      </c>
      <c r="D39" s="26">
        <f>1*C39*1.1</f>
        <v>4.95</v>
      </c>
      <c r="E39" s="27">
        <f t="shared" si="0"/>
        <v>2.5410000000000004</v>
      </c>
      <c r="F39" s="22">
        <v>24</v>
      </c>
      <c r="G39" s="22">
        <v>6</v>
      </c>
      <c r="H39" s="27">
        <f t="shared" si="4"/>
        <v>22.275000000000002</v>
      </c>
      <c r="I39" s="27">
        <f t="shared" si="1"/>
        <v>0.89100000000000001</v>
      </c>
      <c r="J39" s="30">
        <f t="shared" si="2"/>
        <v>9.9</v>
      </c>
      <c r="K39" s="6"/>
    </row>
    <row r="40" spans="1:11">
      <c r="A40" s="19" t="s">
        <v>30</v>
      </c>
      <c r="B40" s="5" t="s">
        <v>57</v>
      </c>
      <c r="C40" s="24">
        <v>4.5</v>
      </c>
      <c r="D40" s="26">
        <f>1*C40*1.1</f>
        <v>4.95</v>
      </c>
      <c r="E40" s="27">
        <f t="shared" si="0"/>
        <v>2.5410000000000004</v>
      </c>
      <c r="F40" s="22">
        <v>24</v>
      </c>
      <c r="G40" s="22">
        <v>6</v>
      </c>
      <c r="H40" s="27">
        <f t="shared" si="4"/>
        <v>22.275000000000002</v>
      </c>
      <c r="I40" s="27">
        <f t="shared" si="1"/>
        <v>0.89100000000000001</v>
      </c>
      <c r="J40" s="30">
        <f t="shared" si="2"/>
        <v>9.9</v>
      </c>
      <c r="K40" s="6"/>
    </row>
    <row r="41" spans="1:11">
      <c r="A41" s="19" t="s">
        <v>31</v>
      </c>
      <c r="B41" s="5" t="s">
        <v>56</v>
      </c>
      <c r="C41" s="24">
        <v>4.5</v>
      </c>
      <c r="D41" s="26">
        <f>16.8*C41*1.1</f>
        <v>83.160000000000011</v>
      </c>
      <c r="E41" s="27">
        <f t="shared" si="0"/>
        <v>2.5410000000000004</v>
      </c>
      <c r="F41" s="22"/>
      <c r="G41" s="22">
        <v>8</v>
      </c>
      <c r="H41" s="27">
        <f>21*C41*1.1</f>
        <v>103.95</v>
      </c>
      <c r="I41" s="27">
        <f t="shared" si="1"/>
        <v>0.89100000000000001</v>
      </c>
      <c r="J41" s="30">
        <f t="shared" si="2"/>
        <v>9.9</v>
      </c>
      <c r="K41" s="6"/>
    </row>
    <row r="42" spans="1:11">
      <c r="A42" s="19" t="s">
        <v>32</v>
      </c>
      <c r="B42" s="5" t="s">
        <v>56</v>
      </c>
      <c r="C42" s="24">
        <v>7</v>
      </c>
      <c r="D42" s="26">
        <f>5.1*C42*1.1</f>
        <v>39.269999999999996</v>
      </c>
      <c r="E42" s="27">
        <f t="shared" si="0"/>
        <v>2.5410000000000004</v>
      </c>
      <c r="F42" s="22">
        <v>26</v>
      </c>
      <c r="G42" s="22">
        <v>10</v>
      </c>
      <c r="H42" s="27">
        <f>4.6*C42*1.1</f>
        <v>35.42</v>
      </c>
      <c r="I42" s="27">
        <f t="shared" si="1"/>
        <v>1.3860000000000001</v>
      </c>
      <c r="J42" s="30">
        <f t="shared" si="2"/>
        <v>15.400000000000002</v>
      </c>
      <c r="K42" s="6"/>
    </row>
    <row r="43" spans="1:11">
      <c r="A43" s="19" t="s">
        <v>33</v>
      </c>
      <c r="B43" s="5" t="s">
        <v>56</v>
      </c>
      <c r="C43" s="24">
        <v>4</v>
      </c>
      <c r="D43" s="26">
        <f>0.85*C43*1.1</f>
        <v>3.74</v>
      </c>
      <c r="E43" s="27">
        <f t="shared" si="0"/>
        <v>2.5410000000000004</v>
      </c>
      <c r="F43" s="22">
        <v>24</v>
      </c>
      <c r="G43" s="22">
        <v>5</v>
      </c>
      <c r="H43" s="27">
        <f t="shared" si="4"/>
        <v>19.8</v>
      </c>
      <c r="I43" s="27">
        <f t="shared" si="1"/>
        <v>0.79200000000000004</v>
      </c>
      <c r="J43" s="30">
        <f t="shared" si="2"/>
        <v>8.8000000000000007</v>
      </c>
      <c r="K43" s="6"/>
    </row>
    <row r="44" spans="1:11" ht="15" thickBot="1">
      <c r="A44" s="20" t="s">
        <v>34</v>
      </c>
      <c r="B44" s="21" t="s">
        <v>56</v>
      </c>
      <c r="C44" s="25">
        <v>4.5</v>
      </c>
      <c r="D44" s="26">
        <f>1.55*C44*1.1</f>
        <v>7.6725000000000012</v>
      </c>
      <c r="E44" s="27">
        <f t="shared" si="0"/>
        <v>2.5410000000000004</v>
      </c>
      <c r="F44" s="23">
        <v>45</v>
      </c>
      <c r="G44" s="23">
        <v>6</v>
      </c>
      <c r="H44" s="27">
        <f>6*C44*1.1</f>
        <v>29.700000000000003</v>
      </c>
      <c r="I44" s="27">
        <f t="shared" si="1"/>
        <v>0.89100000000000001</v>
      </c>
      <c r="J44" s="30">
        <f t="shared" si="2"/>
        <v>9.9</v>
      </c>
      <c r="K44" s="6"/>
    </row>
    <row r="45" spans="1:11" ht="15.75" thickBot="1">
      <c r="A45" s="93" t="s">
        <v>54</v>
      </c>
      <c r="B45" s="94"/>
      <c r="C45" s="31">
        <f>SUM(C9:C44)</f>
        <v>167</v>
      </c>
      <c r="D45" s="31">
        <f t="shared" ref="D45:J45" si="5">SUM(D9:D44)</f>
        <v>372.24550000000005</v>
      </c>
      <c r="E45" s="31">
        <f t="shared" si="5"/>
        <v>91.475999999999928</v>
      </c>
      <c r="F45" s="31">
        <f>SUM(F9:F44)</f>
        <v>908</v>
      </c>
      <c r="G45" s="31">
        <f t="shared" si="5"/>
        <v>222</v>
      </c>
      <c r="H45" s="31">
        <f t="shared" si="5"/>
        <v>945.54899999999998</v>
      </c>
      <c r="I45" s="31">
        <f t="shared" si="5"/>
        <v>33.065999999999981</v>
      </c>
      <c r="J45" s="31">
        <f t="shared" si="5"/>
        <v>367.4</v>
      </c>
    </row>
  </sheetData>
  <customSheetViews>
    <customSheetView guid="{5E068C25-D435-46DE-A64A-D205E9289932}" showPageBreaks="1" printArea="1" view="pageBreakPreview" topLeftCell="A13">
      <selection activeCell="O39" sqref="O39"/>
      <pageMargins left="0.7" right="0.7" top="0.75" bottom="0.75" header="0.3" footer="0.3"/>
      <pageSetup paperSize="9" scale="69" orientation="landscape" verticalDpi="0" r:id="rId1"/>
    </customSheetView>
    <customSheetView guid="{D77CCF3B-D797-41D0-B6E1-DD959026208A}" showPageBreaks="1" printArea="1" view="pageBreakPreview" topLeftCell="A13">
      <selection activeCell="O39" sqref="O39"/>
      <pageMargins left="0.7" right="0.7" top="0.75" bottom="0.75" header="0.3" footer="0.3"/>
      <pageSetup paperSize="9" scale="69" orientation="landscape" verticalDpi="0" r:id="rId2"/>
    </customSheetView>
    <customSheetView guid="{DFD46085-7CA0-4148-BC6E-BB530038F726}" showPageBreaks="1" view="pageBreakPreview" topLeftCell="A13">
      <selection activeCell="O39" sqref="O39"/>
      <pageMargins left="0.7" right="0.7" top="0.75" bottom="0.75" header="0.3" footer="0.3"/>
      <pageSetup paperSize="9" orientation="portrait" verticalDpi="0" r:id="rId3"/>
    </customSheetView>
  </customSheetViews>
  <mergeCells count="8">
    <mergeCell ref="J6:J7"/>
    <mergeCell ref="A45:B45"/>
    <mergeCell ref="B6:B7"/>
    <mergeCell ref="E6:E7"/>
    <mergeCell ref="F6:F7"/>
    <mergeCell ref="G6:G7"/>
    <mergeCell ref="H6:H7"/>
    <mergeCell ref="I6:I7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 ofertowy</vt:lpstr>
      <vt:lpstr>&lt;--przepusty</vt:lpstr>
      <vt:lpstr>'kosztorys ofertowy'!Tytuły_wydruku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Medion</dc:creator>
  <cp:lastModifiedBy>Anna Stelmaszczyk</cp:lastModifiedBy>
  <cp:lastPrinted>2026-07-06T10:49:18Z</cp:lastPrinted>
  <dcterms:created xsi:type="dcterms:W3CDTF">2010-07-09T16:08:03Z</dcterms:created>
  <dcterms:modified xsi:type="dcterms:W3CDTF">2026-07-31T06:34:08Z</dcterms:modified>
</cp:coreProperties>
</file>